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aritable Trusts\GraniteOne\Disaffiliation\"/>
    </mc:Choice>
  </mc:AlternateContent>
  <xr:revisionPtr revIDLastSave="0" documentId="8_{85B90FEB-826D-47C8-855C-7B911F925E2D}" xr6:coauthVersionLast="47" xr6:coauthVersionMax="47" xr10:uidLastSave="{00000000-0000-0000-0000-000000000000}"/>
  <bookViews>
    <workbookView xWindow="-120" yWindow="-120" windowWidth="19440" windowHeight="15000" tabRatio="770" xr2:uid="{00000000-000D-0000-FFFF-FFFF00000000}"/>
  </bookViews>
  <sheets>
    <sheet name="Summary" sheetId="13" r:id="rId1"/>
  </sheets>
  <definedNames>
    <definedName name="_xlnm.Print_Area" localSheetId="0">Summary!$A$1:$R$53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3" l="1"/>
  <c r="H42" i="13" l="1"/>
  <c r="K42" i="13" s="1"/>
  <c r="R41" i="13"/>
  <c r="G42" i="13" s="1"/>
  <c r="H41" i="13"/>
  <c r="K41" i="13" s="1"/>
  <c r="R40" i="13"/>
  <c r="H40" i="13"/>
  <c r="K40" i="13" s="1"/>
  <c r="R39" i="13"/>
  <c r="G39" i="13" s="1"/>
  <c r="H39" i="13"/>
  <c r="K39" i="13" s="1"/>
  <c r="R38" i="13"/>
  <c r="H38" i="13"/>
  <c r="K38" i="13" s="1"/>
  <c r="R37" i="13"/>
  <c r="H37" i="13"/>
  <c r="K37" i="13" s="1"/>
  <c r="R36" i="13"/>
  <c r="H36" i="13"/>
  <c r="K36" i="13" s="1"/>
  <c r="R35" i="13"/>
  <c r="G36" i="13" s="1"/>
  <c r="H35" i="13"/>
  <c r="K35" i="13" s="1"/>
  <c r="R34" i="13"/>
  <c r="H34" i="13"/>
  <c r="K34" i="13" s="1"/>
  <c r="R33" i="13"/>
  <c r="H33" i="13"/>
  <c r="K33" i="13" s="1"/>
  <c r="R32" i="13"/>
  <c r="H32" i="13"/>
  <c r="K32" i="13" s="1"/>
  <c r="R31" i="13"/>
  <c r="G32" i="13" s="1"/>
  <c r="H31" i="13"/>
  <c r="K31" i="13" s="1"/>
  <c r="R30" i="13"/>
  <c r="H30" i="13"/>
  <c r="K30" i="13" s="1"/>
  <c r="R29" i="13"/>
  <c r="H29" i="13"/>
  <c r="K29" i="13" s="1"/>
  <c r="R28" i="13"/>
  <c r="H28" i="13"/>
  <c r="K28" i="13" s="1"/>
  <c r="R27" i="13"/>
  <c r="H27" i="13"/>
  <c r="K27" i="13" s="1"/>
  <c r="R26" i="13"/>
  <c r="G26" i="13" s="1"/>
  <c r="K26" i="13"/>
  <c r="R25" i="13"/>
  <c r="K25" i="13"/>
  <c r="R24" i="13"/>
  <c r="G24" i="13" s="1"/>
  <c r="K24" i="13"/>
  <c r="R23" i="13"/>
  <c r="G23" i="13" s="1"/>
  <c r="K23" i="13"/>
  <c r="R22" i="13"/>
  <c r="K22" i="13"/>
  <c r="R21" i="13"/>
  <c r="K21" i="13"/>
  <c r="R20" i="13"/>
  <c r="K20" i="13"/>
  <c r="R19" i="13"/>
  <c r="G19" i="13" s="1"/>
  <c r="K19" i="13"/>
  <c r="R18" i="13"/>
  <c r="R17" i="13"/>
  <c r="R16" i="13"/>
  <c r="R15" i="13"/>
  <c r="G15" i="13" s="1"/>
  <c r="R14" i="13"/>
  <c r="R13" i="13"/>
  <c r="R12" i="13"/>
  <c r="G12" i="13" s="1"/>
  <c r="R11" i="13"/>
  <c r="G11" i="13" s="1"/>
  <c r="R10" i="13"/>
  <c r="R9" i="13"/>
  <c r="R8" i="13"/>
  <c r="R7" i="13"/>
  <c r="G7" i="13" s="1"/>
  <c r="M7" i="13"/>
  <c r="J8" i="13" s="1"/>
  <c r="M8" i="13" s="1"/>
  <c r="J9" i="13" s="1"/>
  <c r="M9" i="13" s="1"/>
  <c r="J10" i="13" s="1"/>
  <c r="M10" i="13" s="1"/>
  <c r="J11" i="13" s="1"/>
  <c r="M11" i="13" s="1"/>
  <c r="J12" i="13" s="1"/>
  <c r="M12" i="13" s="1"/>
  <c r="J13" i="13" s="1"/>
  <c r="M13" i="13" s="1"/>
  <c r="J14" i="13" s="1"/>
  <c r="M14" i="13" s="1"/>
  <c r="J15" i="13" s="1"/>
  <c r="M15" i="13" s="1"/>
  <c r="J16" i="13" s="1"/>
  <c r="M16" i="13" s="1"/>
  <c r="J17" i="13" s="1"/>
  <c r="M17" i="13" s="1"/>
  <c r="J18" i="13" s="1"/>
  <c r="M18" i="13" s="1"/>
  <c r="J19" i="13" s="1"/>
  <c r="M19" i="13" s="1"/>
  <c r="J20" i="13" s="1"/>
  <c r="M20" i="13" s="1"/>
  <c r="J21" i="13" s="1"/>
  <c r="I7" i="13"/>
  <c r="F8" i="13" s="1"/>
  <c r="E7" i="13"/>
  <c r="G8" i="13" l="1"/>
  <c r="G34" i="13"/>
  <c r="G38" i="13"/>
  <c r="G21" i="13"/>
  <c r="G41" i="13"/>
  <c r="O7" i="13"/>
  <c r="G28" i="13"/>
  <c r="G31" i="13"/>
  <c r="G25" i="13"/>
  <c r="G22" i="13"/>
  <c r="G35" i="13"/>
  <c r="G17" i="13"/>
  <c r="M21" i="13"/>
  <c r="J22" i="13" s="1"/>
  <c r="M22" i="13" s="1"/>
  <c r="J23" i="13" s="1"/>
  <c r="M23" i="13" s="1"/>
  <c r="J24" i="13" s="1"/>
  <c r="M24" i="13" s="1"/>
  <c r="J25" i="13" s="1"/>
  <c r="M25" i="13" s="1"/>
  <c r="J26" i="13" s="1"/>
  <c r="M26" i="13" s="1"/>
  <c r="J27" i="13" s="1"/>
  <c r="M27" i="13" s="1"/>
  <c r="J28" i="13" s="1"/>
  <c r="M28" i="13" s="1"/>
  <c r="J29" i="13" s="1"/>
  <c r="M29" i="13" s="1"/>
  <c r="J30" i="13" s="1"/>
  <c r="M30" i="13" s="1"/>
  <c r="J31" i="13" s="1"/>
  <c r="M31" i="13" s="1"/>
  <c r="J32" i="13" s="1"/>
  <c r="M32" i="13" s="1"/>
  <c r="J33" i="13" s="1"/>
  <c r="M33" i="13" s="1"/>
  <c r="J34" i="13" s="1"/>
  <c r="M34" i="13" s="1"/>
  <c r="J35" i="13" s="1"/>
  <c r="M35" i="13" s="1"/>
  <c r="J36" i="13" s="1"/>
  <c r="M36" i="13" s="1"/>
  <c r="J37" i="13" s="1"/>
  <c r="M37" i="13" s="1"/>
  <c r="J38" i="13" s="1"/>
  <c r="M38" i="13" s="1"/>
  <c r="J39" i="13" s="1"/>
  <c r="M39" i="13" s="1"/>
  <c r="J40" i="13" s="1"/>
  <c r="M40" i="13" s="1"/>
  <c r="J41" i="13" s="1"/>
  <c r="M41" i="13" s="1"/>
  <c r="J42" i="13" s="1"/>
  <c r="M42" i="13" s="1"/>
  <c r="G13" i="13"/>
  <c r="G27" i="13"/>
  <c r="C8" i="13"/>
  <c r="E8" i="13" s="1"/>
  <c r="C9" i="13" s="1"/>
  <c r="E9" i="13" s="1"/>
  <c r="G30" i="13"/>
  <c r="G33" i="13"/>
  <c r="G40" i="13"/>
  <c r="G20" i="13"/>
  <c r="G37" i="13"/>
  <c r="G9" i="13"/>
  <c r="G10" i="13"/>
  <c r="G29" i="13"/>
  <c r="G18" i="13"/>
  <c r="P7" i="13"/>
  <c r="G14" i="13"/>
  <c r="S14" i="13" s="1"/>
  <c r="G16" i="13"/>
  <c r="P8" i="13" l="1"/>
  <c r="S10" i="13"/>
  <c r="I8" i="13"/>
  <c r="S18" i="13"/>
  <c r="C10" i="13"/>
  <c r="E10" i="13" s="1"/>
  <c r="F9" i="13" l="1"/>
  <c r="O8" i="13"/>
  <c r="C11" i="13"/>
  <c r="E11" i="13" s="1"/>
  <c r="I9" i="13" l="1"/>
  <c r="P9" i="13"/>
  <c r="C12" i="13"/>
  <c r="E12" i="13" s="1"/>
  <c r="F10" i="13" l="1"/>
  <c r="O9" i="13"/>
  <c r="C13" i="13"/>
  <c r="E13" i="13" s="1"/>
  <c r="I10" i="13" l="1"/>
  <c r="P10" i="13"/>
  <c r="C14" i="13"/>
  <c r="E14" i="13" s="1"/>
  <c r="F11" i="13" l="1"/>
  <c r="O10" i="13"/>
  <c r="C15" i="13"/>
  <c r="E15" i="13" s="1"/>
  <c r="I11" i="13" l="1"/>
  <c r="P11" i="13"/>
  <c r="C16" i="13"/>
  <c r="E16" i="13" s="1"/>
  <c r="F12" i="13" l="1"/>
  <c r="O11" i="13"/>
  <c r="C17" i="13"/>
  <c r="E17" i="13" s="1"/>
  <c r="I12" i="13" l="1"/>
  <c r="P12" i="13"/>
  <c r="C18" i="13"/>
  <c r="E18" i="13" s="1"/>
  <c r="F13" i="13" l="1"/>
  <c r="O12" i="13"/>
  <c r="C19" i="13"/>
  <c r="E19" i="13" s="1"/>
  <c r="I13" i="13" l="1"/>
  <c r="P13" i="13"/>
  <c r="C20" i="13"/>
  <c r="E20" i="13" s="1"/>
  <c r="F14" i="13" l="1"/>
  <c r="O13" i="13"/>
  <c r="C21" i="13"/>
  <c r="E21" i="13" s="1"/>
  <c r="I14" i="13" l="1"/>
  <c r="P14" i="13"/>
  <c r="C22" i="13"/>
  <c r="E22" i="13" s="1"/>
  <c r="F15" i="13" l="1"/>
  <c r="O14" i="13"/>
  <c r="C23" i="13"/>
  <c r="E23" i="13" s="1"/>
  <c r="I15" i="13" l="1"/>
  <c r="P15" i="13"/>
  <c r="C24" i="13"/>
  <c r="E24" i="13" s="1"/>
  <c r="F16" i="13" l="1"/>
  <c r="O15" i="13"/>
  <c r="C25" i="13"/>
  <c r="E25" i="13" s="1"/>
  <c r="I16" i="13" l="1"/>
  <c r="P16" i="13"/>
  <c r="C26" i="13"/>
  <c r="E26" i="13" s="1"/>
  <c r="F17" i="13" l="1"/>
  <c r="O16" i="13"/>
  <c r="C27" i="13"/>
  <c r="E27" i="13" s="1"/>
  <c r="I17" i="13" l="1"/>
  <c r="P17" i="13"/>
  <c r="C28" i="13"/>
  <c r="E28" i="13" s="1"/>
  <c r="F18" i="13" l="1"/>
  <c r="O17" i="13"/>
  <c r="C29" i="13"/>
  <c r="E29" i="13" s="1"/>
  <c r="I18" i="13" l="1"/>
  <c r="P18" i="13"/>
  <c r="C30" i="13"/>
  <c r="E30" i="13" s="1"/>
  <c r="F19" i="13" l="1"/>
  <c r="O18" i="13"/>
  <c r="C31" i="13"/>
  <c r="E31" i="13" s="1"/>
  <c r="I19" i="13" l="1"/>
  <c r="P19" i="13"/>
  <c r="C32" i="13"/>
  <c r="E32" i="13" s="1"/>
  <c r="F20" i="13" l="1"/>
  <c r="O19" i="13"/>
  <c r="C33" i="13"/>
  <c r="E33" i="13" s="1"/>
  <c r="I20" i="13" l="1"/>
  <c r="P20" i="13"/>
  <c r="C34" i="13"/>
  <c r="E34" i="13" s="1"/>
  <c r="F21" i="13" l="1"/>
  <c r="O20" i="13"/>
  <c r="C35" i="13"/>
  <c r="E35" i="13" s="1"/>
  <c r="I21" i="13" l="1"/>
  <c r="P21" i="13"/>
  <c r="C36" i="13"/>
  <c r="E36" i="13" s="1"/>
  <c r="F22" i="13" l="1"/>
  <c r="O21" i="13"/>
  <c r="C37" i="13"/>
  <c r="E37" i="13" s="1"/>
  <c r="I22" i="13" l="1"/>
  <c r="P22" i="13"/>
  <c r="C38" i="13"/>
  <c r="E38" i="13" s="1"/>
  <c r="F23" i="13" l="1"/>
  <c r="O22" i="13"/>
  <c r="C39" i="13"/>
  <c r="E39" i="13" s="1"/>
  <c r="I23" i="13" l="1"/>
  <c r="P23" i="13"/>
  <c r="C40" i="13"/>
  <c r="E40" i="13" s="1"/>
  <c r="F24" i="13" l="1"/>
  <c r="O23" i="13"/>
  <c r="C41" i="13"/>
  <c r="E41" i="13" s="1"/>
  <c r="C42" i="13" s="1"/>
  <c r="E42" i="13" s="1"/>
  <c r="I24" i="13" l="1"/>
  <c r="P24" i="13"/>
  <c r="F25" i="13" l="1"/>
  <c r="O24" i="13"/>
  <c r="I25" i="13" l="1"/>
  <c r="P25" i="13"/>
  <c r="F26" i="13" l="1"/>
  <c r="O25" i="13"/>
  <c r="I26" i="13" l="1"/>
  <c r="P26" i="13"/>
  <c r="F27" i="13" l="1"/>
  <c r="O26" i="13"/>
  <c r="I27" i="13" l="1"/>
  <c r="P27" i="13"/>
  <c r="F28" i="13" l="1"/>
  <c r="O27" i="13"/>
  <c r="I28" i="13" l="1"/>
  <c r="P28" i="13"/>
  <c r="F29" i="13" l="1"/>
  <c r="O28" i="13"/>
  <c r="I29" i="13" l="1"/>
  <c r="P29" i="13"/>
  <c r="F30" i="13" l="1"/>
  <c r="O29" i="13"/>
  <c r="I30" i="13" l="1"/>
  <c r="P30" i="13"/>
  <c r="F31" i="13" l="1"/>
  <c r="O30" i="13"/>
  <c r="I31" i="13" l="1"/>
  <c r="P31" i="13"/>
  <c r="F32" i="13" l="1"/>
  <c r="O31" i="13"/>
  <c r="I32" i="13" l="1"/>
  <c r="P32" i="13"/>
  <c r="F33" i="13" l="1"/>
  <c r="O32" i="13"/>
  <c r="I33" i="13" l="1"/>
  <c r="P33" i="13"/>
  <c r="F34" i="13" l="1"/>
  <c r="O33" i="13"/>
  <c r="I34" i="13" l="1"/>
  <c r="P34" i="13"/>
  <c r="F35" i="13" l="1"/>
  <c r="O34" i="13"/>
  <c r="I35" i="13" l="1"/>
  <c r="P35" i="13"/>
  <c r="F36" i="13" l="1"/>
  <c r="O35" i="13"/>
  <c r="I36" i="13" l="1"/>
  <c r="P36" i="13"/>
  <c r="F37" i="13" l="1"/>
  <c r="O36" i="13"/>
  <c r="I37" i="13" l="1"/>
  <c r="P37" i="13"/>
  <c r="F38" i="13" l="1"/>
  <c r="O37" i="13"/>
  <c r="I38" i="13" l="1"/>
  <c r="P38" i="13"/>
  <c r="F39" i="13" l="1"/>
  <c r="O38" i="13"/>
  <c r="I39" i="13" l="1"/>
  <c r="P39" i="13"/>
  <c r="F40" i="13" l="1"/>
  <c r="O39" i="13"/>
  <c r="I40" i="13" l="1"/>
  <c r="P40" i="13"/>
  <c r="F41" i="13" l="1"/>
  <c r="O40" i="13"/>
  <c r="I41" i="13" l="1"/>
  <c r="P41" i="13"/>
  <c r="F42" i="13" l="1"/>
  <c r="O41" i="13"/>
  <c r="I42" i="13" l="1"/>
  <c r="O42" i="13" s="1"/>
  <c r="O49" i="13" s="1"/>
  <c r="P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Priestley Humphrey</author>
    <author>Jordan Volikas</author>
  </authors>
  <commentList>
    <comment ref="G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Nicole Priestley Humphrey:</t>
        </r>
        <r>
          <rPr>
            <sz val="9"/>
            <color indexed="81"/>
            <rFont val="Tahoma"/>
            <family val="2"/>
          </rPr>
          <t xml:space="preserve">
this cell is edited, qtd value is same as ytd value at 12/31</t>
        </r>
      </text>
    </comment>
    <comment ref="G3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Jordan Volikas:</t>
        </r>
        <r>
          <rPr>
            <sz val="9"/>
            <color indexed="81"/>
            <rFont val="Tahoma"/>
            <charset val="1"/>
          </rPr>
          <t xml:space="preserve">
Edited cell, QTD value is same as YTD value for 12/31</t>
        </r>
      </text>
    </comment>
    <comment ref="G39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Jordan Volikas:</t>
        </r>
        <r>
          <rPr>
            <sz val="9"/>
            <color indexed="81"/>
            <rFont val="Tahoma"/>
            <charset val="1"/>
          </rPr>
          <t xml:space="preserve">
Edited cell, QTD value is same as YTD value for 12/31</t>
        </r>
      </text>
    </comment>
  </commentList>
</comments>
</file>

<file path=xl/sharedStrings.xml><?xml version="1.0" encoding="utf-8"?>
<sst xmlns="http://schemas.openxmlformats.org/spreadsheetml/2006/main" count="23" uniqueCount="21">
  <si>
    <t>Beginning Balance</t>
  </si>
  <si>
    <t>Donations</t>
  </si>
  <si>
    <t>Ending Balance</t>
  </si>
  <si>
    <t>Ending Appreciation</t>
  </si>
  <si>
    <t>Permanently Restricted</t>
  </si>
  <si>
    <t>Temporarily Restricted</t>
  </si>
  <si>
    <t>Unrestricted</t>
  </si>
  <si>
    <t>Realized &amp; Unrealized G/L</t>
  </si>
  <si>
    <t>Transfer (to) /from UR</t>
  </si>
  <si>
    <t>Transfer (to) /from TR (spending policy)</t>
  </si>
  <si>
    <t>Quarterly Appreciation</t>
  </si>
  <si>
    <t>Total Value</t>
  </si>
  <si>
    <t>% Return</t>
  </si>
  <si>
    <t>Rolling 12 Quarters Average</t>
  </si>
  <si>
    <t>Spending Policy %</t>
  </si>
  <si>
    <t>Fiscal Year Qtr</t>
  </si>
  <si>
    <t>Prior qtr appreciation</t>
  </si>
  <si>
    <t>Change in NetAssets Temp Rest Realized &amp; Unrealized G/(L)</t>
  </si>
  <si>
    <t>Monadnock Community Hospital</t>
  </si>
  <si>
    <t>As of 09/30/22</t>
  </si>
  <si>
    <t xml:space="preserve">Endowment Permanently Restricted Funding &amp; Appreciation Roll-forward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</si>
</sst>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164" fontId="0" fillId="0" borderId="4" xfId="1" applyNumberFormat="1" applyFont="1" applyBorder="1"/>
    <xf numFmtId="0" fontId="0" fillId="0" borderId="0" xfId="0" applyAlignment="1">
      <alignment wrapText="1"/>
    </xf>
    <xf numFmtId="164" fontId="0" fillId="0" borderId="3" xfId="1" applyNumberFormat="1" applyFont="1" applyBorder="1"/>
    <xf numFmtId="164" fontId="0" fillId="0" borderId="5" xfId="1" applyNumberFormat="1" applyFont="1" applyBorder="1"/>
    <xf numFmtId="0" fontId="0" fillId="0" borderId="9" xfId="0" applyBorder="1"/>
    <xf numFmtId="164" fontId="0" fillId="0" borderId="0" xfId="1" applyNumberFormat="1" applyFont="1" applyFill="1" applyBorder="1"/>
    <xf numFmtId="14" fontId="0" fillId="0" borderId="0" xfId="0" applyNumberFormat="1"/>
    <xf numFmtId="14" fontId="0" fillId="0" borderId="1" xfId="0" applyNumberFormat="1" applyBorder="1"/>
    <xf numFmtId="14" fontId="0" fillId="0" borderId="3" xfId="0" applyNumberFormat="1" applyBorder="1"/>
    <xf numFmtId="10" fontId="0" fillId="0" borderId="0" xfId="5" applyNumberFormat="1" applyFont="1"/>
    <xf numFmtId="165" fontId="0" fillId="0" borderId="0" xfId="5" applyNumberFormat="1" applyFont="1"/>
    <xf numFmtId="0" fontId="7" fillId="0" borderId="0" xfId="0" applyFont="1" applyAlignment="1">
      <alignment horizontal="left"/>
    </xf>
    <xf numFmtId="164" fontId="8" fillId="0" borderId="0" xfId="1" applyNumberFormat="1" applyFont="1"/>
    <xf numFmtId="164" fontId="8" fillId="0" borderId="0" xfId="1" applyNumberFormat="1" applyFont="1" applyAlignment="1">
      <alignment horizontal="right"/>
    </xf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0" fontId="0" fillId="0" borderId="0" xfId="5" applyNumberFormat="1" applyFont="1" applyFill="1"/>
    <xf numFmtId="166" fontId="0" fillId="0" borderId="0" xfId="6" applyNumberFormat="1" applyFont="1"/>
    <xf numFmtId="166" fontId="0" fillId="0" borderId="1" xfId="6" applyNumberFormat="1" applyFont="1" applyBorder="1"/>
    <xf numFmtId="166" fontId="0" fillId="0" borderId="0" xfId="6" applyNumberFormat="1" applyFont="1" applyBorder="1"/>
    <xf numFmtId="166" fontId="0" fillId="0" borderId="2" xfId="6" applyNumberFormat="1" applyFont="1" applyBorder="1"/>
    <xf numFmtId="166" fontId="0" fillId="3" borderId="0" xfId="6" applyNumberFormat="1" applyFont="1" applyFill="1" applyBorder="1"/>
    <xf numFmtId="166" fontId="0" fillId="2" borderId="0" xfId="6" applyNumberFormat="1" applyFont="1" applyFill="1" applyBorder="1"/>
    <xf numFmtId="166" fontId="0" fillId="2" borderId="0" xfId="6" applyNumberFormat="1" applyFont="1" applyFill="1"/>
    <xf numFmtId="14" fontId="2" fillId="0" borderId="1" xfId="0" applyNumberFormat="1" applyFont="1" applyBorder="1"/>
    <xf numFmtId="166" fontId="2" fillId="0" borderId="1" xfId="6" applyNumberFormat="1" applyFont="1" applyBorder="1"/>
    <xf numFmtId="166" fontId="2" fillId="0" borderId="0" xfId="6" applyNumberFormat="1" applyFont="1" applyBorder="1"/>
    <xf numFmtId="166" fontId="2" fillId="0" borderId="2" xfId="6" applyNumberFormat="1" applyFont="1" applyBorder="1"/>
    <xf numFmtId="166" fontId="2" fillId="2" borderId="0" xfId="6" applyNumberFormat="1" applyFont="1" applyFill="1" applyBorder="1"/>
    <xf numFmtId="166" fontId="2" fillId="0" borderId="0" xfId="6" applyNumberFormat="1" applyFont="1"/>
    <xf numFmtId="10" fontId="2" fillId="0" borderId="0" xfId="5" applyNumberFormat="1" applyFont="1"/>
    <xf numFmtId="164" fontId="2" fillId="0" borderId="0" xfId="0" applyNumberFormat="1" applyFont="1"/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Comma" xfId="1" builtinId="3"/>
    <cellStyle name="Comma 2" xfId="4" xr:uid="{00000000-0005-0000-0000-000001000000}"/>
    <cellStyle name="Currency" xfId="6" builtinId="4"/>
    <cellStyle name="Normal" xfId="0" builtinId="0"/>
    <cellStyle name="Normal 2" xfId="2" xr:uid="{00000000-0005-0000-0000-000004000000}"/>
    <cellStyle name="Normal 3" xfId="3" xr:uid="{00000000-0005-0000-0000-000005000000}"/>
    <cellStyle name="Percent" xfId="5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defaultRowHeight="15" x14ac:dyDescent="0.25"/>
  <cols>
    <col min="1" max="1" width="2.5703125" customWidth="1"/>
    <col min="2" max="2" width="11.85546875" customWidth="1"/>
    <col min="3" max="3" width="13.7109375" customWidth="1"/>
    <col min="4" max="4" width="10.140625" customWidth="1"/>
    <col min="5" max="5" width="12.7109375" customWidth="1"/>
    <col min="6" max="6" width="13.7109375" customWidth="1"/>
    <col min="7" max="7" width="14.7109375" customWidth="1"/>
    <col min="8" max="8" width="12.28515625" customWidth="1"/>
    <col min="9" max="9" width="14.7109375" customWidth="1"/>
    <col min="10" max="10" width="13.7109375" customWidth="1"/>
    <col min="11" max="11" width="16.28515625" customWidth="1"/>
    <col min="12" max="12" width="12.140625" customWidth="1"/>
    <col min="13" max="13" width="19.42578125" customWidth="1"/>
    <col min="14" max="14" width="3" customWidth="1"/>
    <col min="15" max="16" width="13.7109375" customWidth="1"/>
    <col min="17" max="17" width="2.140625" customWidth="1"/>
    <col min="18" max="18" width="13.7109375" customWidth="1"/>
    <col min="19" max="19" width="11.5703125" bestFit="1" customWidth="1"/>
    <col min="20" max="20" width="13.28515625" bestFit="1" customWidth="1"/>
    <col min="21" max="21" width="11.28515625" bestFit="1" customWidth="1"/>
    <col min="24" max="24" width="10.5703125" bestFit="1" customWidth="1"/>
  </cols>
  <sheetData>
    <row r="1" spans="1:20" x14ac:dyDescent="0.25">
      <c r="A1" s="3" t="s">
        <v>18</v>
      </c>
      <c r="B1" s="3"/>
      <c r="C1" s="3"/>
      <c r="D1" s="3"/>
      <c r="E1" s="3"/>
      <c r="F1" s="3"/>
      <c r="G1" s="3"/>
      <c r="H1" s="3"/>
    </row>
    <row r="2" spans="1:20" x14ac:dyDescent="0.25">
      <c r="A2" s="3" t="s">
        <v>20</v>
      </c>
      <c r="B2" s="3"/>
      <c r="C2" s="3"/>
      <c r="D2" s="3"/>
      <c r="E2" s="3"/>
      <c r="F2" s="3"/>
      <c r="G2" s="3"/>
      <c r="H2" s="3"/>
    </row>
    <row r="3" spans="1:20" x14ac:dyDescent="0.25">
      <c r="A3" s="3" t="s">
        <v>19</v>
      </c>
      <c r="B3" s="3"/>
      <c r="C3" s="3"/>
      <c r="D3" s="3"/>
      <c r="E3" s="3"/>
      <c r="F3" s="3"/>
      <c r="G3" s="3"/>
      <c r="H3" s="3"/>
    </row>
    <row r="4" spans="1:20" x14ac:dyDescent="0.25">
      <c r="A4" s="17"/>
      <c r="I4" s="2"/>
    </row>
    <row r="5" spans="1:20" x14ac:dyDescent="0.25">
      <c r="B5" s="10"/>
      <c r="C5" s="48" t="s">
        <v>4</v>
      </c>
      <c r="D5" s="49"/>
      <c r="E5" s="49"/>
      <c r="F5" s="48" t="s">
        <v>5</v>
      </c>
      <c r="G5" s="49"/>
      <c r="H5" s="49"/>
      <c r="I5" s="50"/>
      <c r="J5" s="48" t="s">
        <v>6</v>
      </c>
      <c r="K5" s="49"/>
      <c r="L5" s="49"/>
      <c r="M5" s="50"/>
    </row>
    <row r="6" spans="1:20" s="7" customFormat="1" ht="90" x14ac:dyDescent="0.25">
      <c r="B6" s="38" t="s">
        <v>15</v>
      </c>
      <c r="C6" s="39" t="s">
        <v>0</v>
      </c>
      <c r="D6" s="40" t="s">
        <v>1</v>
      </c>
      <c r="E6" s="41" t="s">
        <v>2</v>
      </c>
      <c r="F6" s="42" t="s">
        <v>16</v>
      </c>
      <c r="G6" s="43" t="s">
        <v>10</v>
      </c>
      <c r="H6" s="43" t="s">
        <v>8</v>
      </c>
      <c r="I6" s="44" t="s">
        <v>3</v>
      </c>
      <c r="J6" s="42" t="s">
        <v>16</v>
      </c>
      <c r="K6" s="43" t="s">
        <v>9</v>
      </c>
      <c r="L6" s="43" t="s">
        <v>7</v>
      </c>
      <c r="M6" s="44" t="s">
        <v>3</v>
      </c>
      <c r="N6" s="45"/>
      <c r="O6" s="46" t="s">
        <v>11</v>
      </c>
      <c r="P6" s="46" t="s">
        <v>12</v>
      </c>
      <c r="Q6" s="45"/>
      <c r="R6" s="47" t="s">
        <v>17</v>
      </c>
    </row>
    <row r="7" spans="1:20" x14ac:dyDescent="0.25">
      <c r="B7" s="13">
        <v>41639</v>
      </c>
      <c r="C7" s="24">
        <v>4221581.78</v>
      </c>
      <c r="D7" s="25"/>
      <c r="E7" s="26">
        <f>SUM(C7:D7)</f>
        <v>4221581.78</v>
      </c>
      <c r="F7" s="24">
        <v>1038552</v>
      </c>
      <c r="G7" s="25">
        <f>+R7</f>
        <v>351263</v>
      </c>
      <c r="H7" s="25"/>
      <c r="I7" s="26">
        <f t="shared" ref="I7:I19" si="0">SUM(F7:H7)</f>
        <v>1389815</v>
      </c>
      <c r="J7" s="25">
        <v>0</v>
      </c>
      <c r="K7" s="25"/>
      <c r="L7" s="25"/>
      <c r="M7" s="26">
        <f t="shared" ref="M7:M19" si="1">SUM(J7:L7)</f>
        <v>0</v>
      </c>
      <c r="N7" s="23"/>
      <c r="O7" s="23">
        <f>+E7+I7</f>
        <v>5611396.7800000003</v>
      </c>
      <c r="P7" s="15">
        <f>+G7/(E7+F7)</f>
        <v>6.6778339618579055E-2</v>
      </c>
      <c r="Q7" s="2"/>
      <c r="R7" s="28">
        <f>13485+337778</f>
        <v>351263</v>
      </c>
    </row>
    <row r="8" spans="1:20" x14ac:dyDescent="0.25">
      <c r="B8" s="13">
        <v>41729</v>
      </c>
      <c r="C8" s="24">
        <f t="shared" ref="C8:C41" si="2">+E7</f>
        <v>4221581.78</v>
      </c>
      <c r="D8" s="25"/>
      <c r="E8" s="26">
        <f t="shared" ref="E8:E19" si="3">SUM(C8:D8)</f>
        <v>4221581.78</v>
      </c>
      <c r="F8" s="24">
        <f>+I7</f>
        <v>1389815</v>
      </c>
      <c r="G8" s="25">
        <f>+R8-R7</f>
        <v>-45032</v>
      </c>
      <c r="H8" s="25"/>
      <c r="I8" s="26">
        <f t="shared" si="0"/>
        <v>1344783</v>
      </c>
      <c r="J8" s="25">
        <f t="shared" ref="J8:J41" si="4">+M7</f>
        <v>0</v>
      </c>
      <c r="K8" s="25"/>
      <c r="L8" s="25"/>
      <c r="M8" s="26">
        <f t="shared" si="1"/>
        <v>0</v>
      </c>
      <c r="N8" s="23"/>
      <c r="O8" s="23">
        <f t="shared" ref="O8:O41" si="5">+E8+I8</f>
        <v>5566364.7800000003</v>
      </c>
      <c r="P8" s="15">
        <f t="shared" ref="P8:P41" si="6">+G8/(E8+F8)</f>
        <v>-8.0250963825088829E-3</v>
      </c>
      <c r="Q8" s="2"/>
      <c r="R8" s="29">
        <f>59465+246766</f>
        <v>306231</v>
      </c>
    </row>
    <row r="9" spans="1:20" x14ac:dyDescent="0.25">
      <c r="B9" s="13">
        <v>41820</v>
      </c>
      <c r="C9" s="24">
        <f t="shared" si="2"/>
        <v>4221581.78</v>
      </c>
      <c r="D9" s="25"/>
      <c r="E9" s="26">
        <f t="shared" si="3"/>
        <v>4221581.78</v>
      </c>
      <c r="F9" s="24">
        <f t="shared" ref="F9:F41" si="7">+I8</f>
        <v>1344783</v>
      </c>
      <c r="G9" s="25">
        <f t="shared" ref="G9:G10" si="8">+R9-R8</f>
        <v>181461</v>
      </c>
      <c r="H9" s="25"/>
      <c r="I9" s="26">
        <f t="shared" si="0"/>
        <v>1526244</v>
      </c>
      <c r="J9" s="25">
        <f t="shared" si="4"/>
        <v>0</v>
      </c>
      <c r="K9" s="25"/>
      <c r="L9" s="25"/>
      <c r="M9" s="26">
        <f t="shared" si="1"/>
        <v>0</v>
      </c>
      <c r="N9" s="23"/>
      <c r="O9" s="23">
        <f t="shared" si="5"/>
        <v>5747825.7800000003</v>
      </c>
      <c r="P9" s="15">
        <f t="shared" si="6"/>
        <v>3.2599552341950541E-2</v>
      </c>
      <c r="Q9" s="2"/>
      <c r="R9" s="29">
        <f>57871+429821</f>
        <v>487692</v>
      </c>
    </row>
    <row r="10" spans="1:20" x14ac:dyDescent="0.25">
      <c r="B10" s="13">
        <v>41912</v>
      </c>
      <c r="C10" s="24">
        <f t="shared" si="2"/>
        <v>4221581.78</v>
      </c>
      <c r="D10" s="25"/>
      <c r="E10" s="26">
        <f t="shared" si="3"/>
        <v>4221581.78</v>
      </c>
      <c r="F10" s="24">
        <f t="shared" si="7"/>
        <v>1526244</v>
      </c>
      <c r="G10" s="25">
        <f t="shared" si="8"/>
        <v>67584</v>
      </c>
      <c r="H10" s="25"/>
      <c r="I10" s="26">
        <f t="shared" si="0"/>
        <v>1593828</v>
      </c>
      <c r="J10" s="25">
        <f t="shared" si="4"/>
        <v>0</v>
      </c>
      <c r="K10" s="25"/>
      <c r="L10" s="25"/>
      <c r="M10" s="26">
        <f t="shared" si="1"/>
        <v>0</v>
      </c>
      <c r="N10" s="23"/>
      <c r="O10" s="23">
        <f t="shared" si="5"/>
        <v>5815409.7800000003</v>
      </c>
      <c r="P10" s="15">
        <f t="shared" si="6"/>
        <v>1.1758185196768437E-2</v>
      </c>
      <c r="Q10" s="2"/>
      <c r="R10" s="29">
        <f>108240+447036</f>
        <v>555276</v>
      </c>
      <c r="S10" s="1">
        <f>SUM(G7:G10)-R10</f>
        <v>0</v>
      </c>
    </row>
    <row r="11" spans="1:20" x14ac:dyDescent="0.25">
      <c r="B11" s="13">
        <v>42004</v>
      </c>
      <c r="C11" s="24">
        <f t="shared" si="2"/>
        <v>4221581.78</v>
      </c>
      <c r="D11" s="25"/>
      <c r="E11" s="26">
        <f t="shared" si="3"/>
        <v>4221581.78</v>
      </c>
      <c r="F11" s="24">
        <f t="shared" si="7"/>
        <v>1593828</v>
      </c>
      <c r="G11" s="25">
        <f>+R11</f>
        <v>325038</v>
      </c>
      <c r="H11" s="25"/>
      <c r="I11" s="26">
        <f t="shared" si="0"/>
        <v>1918866</v>
      </c>
      <c r="J11" s="25">
        <f t="shared" si="4"/>
        <v>0</v>
      </c>
      <c r="K11" s="25"/>
      <c r="L11" s="25"/>
      <c r="M11" s="26">
        <f t="shared" si="1"/>
        <v>0</v>
      </c>
      <c r="N11" s="23"/>
      <c r="O11" s="23">
        <f t="shared" si="5"/>
        <v>6140447.7800000003</v>
      </c>
      <c r="P11" s="15">
        <f t="shared" si="6"/>
        <v>5.5892535916875659E-2</v>
      </c>
      <c r="Q11" s="2"/>
      <c r="R11" s="28">
        <f>81795+243243</f>
        <v>325038</v>
      </c>
    </row>
    <row r="12" spans="1:20" x14ac:dyDescent="0.25">
      <c r="B12" s="13">
        <v>42094</v>
      </c>
      <c r="C12" s="24">
        <f t="shared" si="2"/>
        <v>4221581.78</v>
      </c>
      <c r="D12" s="25"/>
      <c r="E12" s="26">
        <f t="shared" si="3"/>
        <v>4221581.78</v>
      </c>
      <c r="F12" s="24">
        <f t="shared" si="7"/>
        <v>1918866</v>
      </c>
      <c r="G12" s="25">
        <f>+R12-R11</f>
        <v>113367</v>
      </c>
      <c r="H12" s="25"/>
      <c r="I12" s="26">
        <f t="shared" si="0"/>
        <v>2032233</v>
      </c>
      <c r="J12" s="25">
        <f t="shared" si="4"/>
        <v>0</v>
      </c>
      <c r="K12" s="25"/>
      <c r="L12" s="25"/>
      <c r="M12" s="26">
        <f t="shared" si="1"/>
        <v>0</v>
      </c>
      <c r="N12" s="23"/>
      <c r="O12" s="23">
        <f t="shared" si="5"/>
        <v>6253814.7800000003</v>
      </c>
      <c r="P12" s="15">
        <f t="shared" si="6"/>
        <v>1.846233435438482E-2</v>
      </c>
      <c r="Q12" s="2"/>
      <c r="R12" s="29">
        <f>96429+341976</f>
        <v>438405</v>
      </c>
    </row>
    <row r="13" spans="1:20" x14ac:dyDescent="0.25">
      <c r="B13" s="13">
        <v>42185</v>
      </c>
      <c r="C13" s="24">
        <f t="shared" si="2"/>
        <v>4221581.78</v>
      </c>
      <c r="D13" s="25"/>
      <c r="E13" s="26">
        <f t="shared" si="3"/>
        <v>4221581.78</v>
      </c>
      <c r="F13" s="24">
        <f t="shared" si="7"/>
        <v>2032233</v>
      </c>
      <c r="G13" s="25">
        <f t="shared" ref="G13:G14" si="9">+R13-R12</f>
        <v>-44793</v>
      </c>
      <c r="H13" s="25"/>
      <c r="I13" s="26">
        <f t="shared" si="0"/>
        <v>1987440</v>
      </c>
      <c r="J13" s="25">
        <f t="shared" si="4"/>
        <v>0</v>
      </c>
      <c r="K13" s="25"/>
      <c r="L13" s="25"/>
      <c r="M13" s="26">
        <f t="shared" si="1"/>
        <v>0</v>
      </c>
      <c r="N13" s="23"/>
      <c r="O13" s="23">
        <f t="shared" si="5"/>
        <v>6209021.7800000003</v>
      </c>
      <c r="P13" s="15">
        <f t="shared" si="6"/>
        <v>-7.1625082570801685E-3</v>
      </c>
      <c r="Q13" s="2"/>
      <c r="R13" s="29">
        <f>129988+263624</f>
        <v>393612</v>
      </c>
    </row>
    <row r="14" spans="1:20" x14ac:dyDescent="0.25">
      <c r="B14" s="13">
        <v>42277</v>
      </c>
      <c r="C14" s="24">
        <f t="shared" si="2"/>
        <v>4221581.78</v>
      </c>
      <c r="D14" s="25"/>
      <c r="E14" s="26">
        <f t="shared" si="3"/>
        <v>4221581.78</v>
      </c>
      <c r="F14" s="24">
        <f t="shared" si="7"/>
        <v>1987440</v>
      </c>
      <c r="G14" s="25">
        <f t="shared" si="9"/>
        <v>-94451</v>
      </c>
      <c r="H14" s="25"/>
      <c r="I14" s="26">
        <f t="shared" si="0"/>
        <v>1892989</v>
      </c>
      <c r="J14" s="25">
        <f t="shared" si="4"/>
        <v>0</v>
      </c>
      <c r="K14" s="25"/>
      <c r="L14" s="25"/>
      <c r="M14" s="26">
        <f t="shared" si="1"/>
        <v>0</v>
      </c>
      <c r="N14" s="23"/>
      <c r="O14" s="23">
        <f t="shared" si="5"/>
        <v>6114570.7800000003</v>
      </c>
      <c r="P14" s="15">
        <f t="shared" si="6"/>
        <v>-1.5211897034125075E-2</v>
      </c>
      <c r="Q14" s="2"/>
      <c r="R14" s="29">
        <f>175177+123984</f>
        <v>299161</v>
      </c>
      <c r="S14" s="1">
        <f>SUM(G11:G14)-R14</f>
        <v>0</v>
      </c>
      <c r="T14" s="1"/>
    </row>
    <row r="15" spans="1:20" x14ac:dyDescent="0.25">
      <c r="B15" s="13">
        <v>42369</v>
      </c>
      <c r="C15" s="24">
        <f t="shared" si="2"/>
        <v>4221581.78</v>
      </c>
      <c r="D15" s="25"/>
      <c r="E15" s="26">
        <f t="shared" si="3"/>
        <v>4221581.78</v>
      </c>
      <c r="F15" s="24">
        <f t="shared" si="7"/>
        <v>1892989</v>
      </c>
      <c r="G15" s="25">
        <f>+R15</f>
        <v>115674</v>
      </c>
      <c r="H15" s="25"/>
      <c r="I15" s="26">
        <f t="shared" si="0"/>
        <v>2008663</v>
      </c>
      <c r="J15" s="25">
        <f t="shared" si="4"/>
        <v>0</v>
      </c>
      <c r="K15" s="25"/>
      <c r="L15" s="25"/>
      <c r="M15" s="26">
        <f t="shared" si="1"/>
        <v>0</v>
      </c>
      <c r="N15" s="23"/>
      <c r="O15" s="23">
        <f t="shared" si="5"/>
        <v>6230244.7800000003</v>
      </c>
      <c r="P15" s="15">
        <f t="shared" si="6"/>
        <v>1.8917762858900129E-2</v>
      </c>
      <c r="Q15" s="2"/>
      <c r="R15" s="28">
        <f>-334+116008</f>
        <v>115674</v>
      </c>
      <c r="T15" s="1"/>
    </row>
    <row r="16" spans="1:20" x14ac:dyDescent="0.25">
      <c r="B16" s="13">
        <v>42460</v>
      </c>
      <c r="C16" s="24">
        <f t="shared" si="2"/>
        <v>4221581.78</v>
      </c>
      <c r="D16" s="25"/>
      <c r="E16" s="26">
        <f t="shared" si="3"/>
        <v>4221581.78</v>
      </c>
      <c r="F16" s="24">
        <f t="shared" si="7"/>
        <v>2008663</v>
      </c>
      <c r="G16" s="25">
        <f>+R16-R15</f>
        <v>188386</v>
      </c>
      <c r="H16" s="25"/>
      <c r="I16" s="26">
        <f t="shared" si="0"/>
        <v>2197049</v>
      </c>
      <c r="J16" s="25">
        <f t="shared" si="4"/>
        <v>0</v>
      </c>
      <c r="K16" s="25"/>
      <c r="L16" s="25"/>
      <c r="M16" s="26">
        <f t="shared" si="1"/>
        <v>0</v>
      </c>
      <c r="N16" s="23"/>
      <c r="O16" s="23">
        <f t="shared" si="5"/>
        <v>6418630.7800000003</v>
      </c>
      <c r="P16" s="15">
        <f t="shared" si="6"/>
        <v>3.0237335233560435E-2</v>
      </c>
      <c r="Q16" s="2"/>
      <c r="R16" s="29">
        <f>-18786+322846</f>
        <v>304060</v>
      </c>
      <c r="T16" s="1"/>
    </row>
    <row r="17" spans="2:20" x14ac:dyDescent="0.25">
      <c r="B17" s="13">
        <v>42551</v>
      </c>
      <c r="C17" s="24">
        <f t="shared" si="2"/>
        <v>4221581.78</v>
      </c>
      <c r="D17" s="25"/>
      <c r="E17" s="26">
        <f t="shared" si="3"/>
        <v>4221581.78</v>
      </c>
      <c r="F17" s="24">
        <f t="shared" si="7"/>
        <v>2197049</v>
      </c>
      <c r="G17" s="25">
        <f t="shared" ref="G17:G18" si="10">+R17-R16</f>
        <v>108061</v>
      </c>
      <c r="H17" s="25"/>
      <c r="I17" s="26">
        <f t="shared" si="0"/>
        <v>2305110</v>
      </c>
      <c r="J17" s="25">
        <f t="shared" si="4"/>
        <v>0</v>
      </c>
      <c r="K17" s="25"/>
      <c r="L17" s="25"/>
      <c r="M17" s="26">
        <f t="shared" si="1"/>
        <v>0</v>
      </c>
      <c r="N17" s="23"/>
      <c r="O17" s="23">
        <f t="shared" si="5"/>
        <v>6526691.7800000003</v>
      </c>
      <c r="P17" s="15">
        <f t="shared" si="6"/>
        <v>1.6835522045715798E-2</v>
      </c>
      <c r="Q17" s="2"/>
      <c r="R17" s="29">
        <f>-11497+423618</f>
        <v>412121</v>
      </c>
      <c r="T17" s="1"/>
    </row>
    <row r="18" spans="2:20" x14ac:dyDescent="0.25">
      <c r="B18" s="13">
        <v>42643</v>
      </c>
      <c r="C18" s="24">
        <f t="shared" si="2"/>
        <v>4221581.78</v>
      </c>
      <c r="D18" s="25"/>
      <c r="E18" s="26">
        <f t="shared" si="3"/>
        <v>4221581.78</v>
      </c>
      <c r="F18" s="24">
        <f t="shared" si="7"/>
        <v>2305110</v>
      </c>
      <c r="G18" s="25">
        <f t="shared" si="10"/>
        <v>-37593</v>
      </c>
      <c r="H18" s="25"/>
      <c r="I18" s="26">
        <f t="shared" si="0"/>
        <v>2267517</v>
      </c>
      <c r="J18" s="25">
        <f t="shared" si="4"/>
        <v>0</v>
      </c>
      <c r="K18" s="25"/>
      <c r="L18" s="25"/>
      <c r="M18" s="26">
        <f t="shared" si="1"/>
        <v>0</v>
      </c>
      <c r="N18" s="23"/>
      <c r="O18" s="23">
        <f t="shared" si="5"/>
        <v>6489098.7800000003</v>
      </c>
      <c r="P18" s="15">
        <f t="shared" si="6"/>
        <v>-5.7598859065472827E-3</v>
      </c>
      <c r="Q18" s="2"/>
      <c r="R18" s="29">
        <f>35717+338811</f>
        <v>374528</v>
      </c>
      <c r="S18" s="1">
        <f>SUM(G15:G18)-R18</f>
        <v>0</v>
      </c>
      <c r="T18" s="1"/>
    </row>
    <row r="19" spans="2:20" x14ac:dyDescent="0.25">
      <c r="B19" s="13">
        <v>42735</v>
      </c>
      <c r="C19" s="24">
        <f t="shared" si="2"/>
        <v>4221581.78</v>
      </c>
      <c r="D19" s="25"/>
      <c r="E19" s="26">
        <f t="shared" si="3"/>
        <v>4221581.78</v>
      </c>
      <c r="F19" s="24">
        <f t="shared" si="7"/>
        <v>2267517</v>
      </c>
      <c r="G19" s="27">
        <f>+R19</f>
        <v>13762</v>
      </c>
      <c r="H19" s="28">
        <v>-59912</v>
      </c>
      <c r="I19" s="26">
        <f t="shared" si="0"/>
        <v>2221367</v>
      </c>
      <c r="J19" s="25">
        <f t="shared" si="4"/>
        <v>0</v>
      </c>
      <c r="K19" s="25">
        <f t="shared" ref="K19:K41" si="11">-H19</f>
        <v>59912</v>
      </c>
      <c r="L19" s="25"/>
      <c r="M19" s="26">
        <f t="shared" si="1"/>
        <v>59912</v>
      </c>
      <c r="N19" s="23"/>
      <c r="O19" s="23">
        <f t="shared" si="5"/>
        <v>6442948.7800000003</v>
      </c>
      <c r="P19" s="15">
        <f t="shared" si="6"/>
        <v>2.1207875648951054E-3</v>
      </c>
      <c r="Q19" s="2"/>
      <c r="R19" s="28">
        <f>-282+14044</f>
        <v>13762</v>
      </c>
    </row>
    <row r="20" spans="2:20" x14ac:dyDescent="0.25">
      <c r="B20" s="13">
        <v>42825</v>
      </c>
      <c r="C20" s="24">
        <f t="shared" si="2"/>
        <v>4221581.78</v>
      </c>
      <c r="D20" s="25"/>
      <c r="E20" s="26">
        <f t="shared" ref="E20" si="12">SUM(C20:D20)</f>
        <v>4221581.78</v>
      </c>
      <c r="F20" s="24">
        <f t="shared" si="7"/>
        <v>2221367</v>
      </c>
      <c r="G20" s="25">
        <f>+R20-R19</f>
        <v>359240</v>
      </c>
      <c r="H20" s="28">
        <v>-59912</v>
      </c>
      <c r="I20" s="26">
        <f t="shared" ref="I20:I21" si="13">SUM(F20:H20)</f>
        <v>2520695</v>
      </c>
      <c r="J20" s="25">
        <f t="shared" si="4"/>
        <v>59912</v>
      </c>
      <c r="K20" s="25">
        <f t="shared" si="11"/>
        <v>59912</v>
      </c>
      <c r="L20" s="25"/>
      <c r="M20" s="26">
        <f t="shared" ref="M20:M21" si="14">SUM(J20:L20)</f>
        <v>119824</v>
      </c>
      <c r="N20" s="23"/>
      <c r="O20" s="23">
        <f t="shared" si="5"/>
        <v>6742276.7800000003</v>
      </c>
      <c r="P20" s="15">
        <f t="shared" si="6"/>
        <v>5.5757078360632255E-2</v>
      </c>
      <c r="Q20" s="2"/>
      <c r="R20" s="28">
        <f>35546+337456</f>
        <v>373002</v>
      </c>
    </row>
    <row r="21" spans="2:20" x14ac:dyDescent="0.25">
      <c r="B21" s="13">
        <v>42916</v>
      </c>
      <c r="C21" s="24">
        <f t="shared" si="2"/>
        <v>4221581.78</v>
      </c>
      <c r="D21" s="25"/>
      <c r="E21" s="26">
        <f t="shared" ref="E21" si="15">SUM(C21:D21)</f>
        <v>4221581.78</v>
      </c>
      <c r="F21" s="24">
        <f t="shared" si="7"/>
        <v>2520695</v>
      </c>
      <c r="G21" s="25">
        <f>+R21-R20</f>
        <v>207112</v>
      </c>
      <c r="H21" s="28">
        <v>-59912</v>
      </c>
      <c r="I21" s="26">
        <f t="shared" si="13"/>
        <v>2667895</v>
      </c>
      <c r="J21" s="25">
        <f t="shared" si="4"/>
        <v>119824</v>
      </c>
      <c r="K21" s="25">
        <f t="shared" si="11"/>
        <v>59912</v>
      </c>
      <c r="L21" s="25"/>
      <c r="M21" s="26">
        <f t="shared" si="14"/>
        <v>179736</v>
      </c>
      <c r="N21" s="23"/>
      <c r="O21" s="23">
        <f t="shared" si="5"/>
        <v>6889476.7800000003</v>
      </c>
      <c r="P21" s="15">
        <f t="shared" si="6"/>
        <v>3.0718406668555662E-2</v>
      </c>
      <c r="Q21" s="2"/>
      <c r="R21" s="28">
        <f>84353+495761</f>
        <v>580114</v>
      </c>
    </row>
    <row r="22" spans="2:20" x14ac:dyDescent="0.25">
      <c r="B22" s="13">
        <v>43008</v>
      </c>
      <c r="C22" s="24">
        <f t="shared" si="2"/>
        <v>4221581.78</v>
      </c>
      <c r="D22" s="25"/>
      <c r="E22" s="26">
        <f t="shared" ref="E22" si="16">SUM(C22:D22)</f>
        <v>4221581.78</v>
      </c>
      <c r="F22" s="24">
        <f t="shared" si="7"/>
        <v>2667895</v>
      </c>
      <c r="G22" s="25">
        <f>+R22-R21</f>
        <v>130426</v>
      </c>
      <c r="H22" s="28">
        <v>-59912</v>
      </c>
      <c r="I22" s="26">
        <f t="shared" ref="I22:I41" si="17">SUM(F22:H22)</f>
        <v>2738409</v>
      </c>
      <c r="J22" s="25">
        <f t="shared" si="4"/>
        <v>179736</v>
      </c>
      <c r="K22" s="25">
        <f t="shared" si="11"/>
        <v>59912</v>
      </c>
      <c r="L22" s="25"/>
      <c r="M22" s="26">
        <f t="shared" ref="M22:M33" si="18">SUM(J22:L22)</f>
        <v>239648</v>
      </c>
      <c r="N22" s="23"/>
      <c r="O22" s="23">
        <f t="shared" si="5"/>
        <v>6959990.7800000003</v>
      </c>
      <c r="P22" s="15">
        <f t="shared" si="6"/>
        <v>1.893119088210353E-2</v>
      </c>
      <c r="Q22" s="2"/>
      <c r="R22" s="28">
        <f>113611+596929</f>
        <v>710540</v>
      </c>
    </row>
    <row r="23" spans="2:20" x14ac:dyDescent="0.25">
      <c r="B23" s="13">
        <v>43100</v>
      </c>
      <c r="C23" s="24">
        <f t="shared" si="2"/>
        <v>4221581.78</v>
      </c>
      <c r="D23" s="25"/>
      <c r="E23" s="26">
        <f t="shared" ref="E23" si="19">SUM(C23:D23)</f>
        <v>4221581.78</v>
      </c>
      <c r="F23" s="24">
        <f t="shared" si="7"/>
        <v>2738409</v>
      </c>
      <c r="G23" s="27">
        <f>+R23</f>
        <v>265007</v>
      </c>
      <c r="H23" s="28">
        <v>-59912</v>
      </c>
      <c r="I23" s="26">
        <f t="shared" si="17"/>
        <v>2943504</v>
      </c>
      <c r="J23" s="25">
        <f t="shared" si="4"/>
        <v>239648</v>
      </c>
      <c r="K23" s="25">
        <f t="shared" si="11"/>
        <v>59912</v>
      </c>
      <c r="L23" s="25"/>
      <c r="M23" s="26">
        <f t="shared" si="18"/>
        <v>299560</v>
      </c>
      <c r="N23" s="23"/>
      <c r="O23" s="23">
        <f t="shared" si="5"/>
        <v>7165085.7800000003</v>
      </c>
      <c r="P23" s="15">
        <f t="shared" si="6"/>
        <v>3.8075768830256984E-2</v>
      </c>
      <c r="Q23" s="2"/>
      <c r="R23" s="28">
        <f>55051+209956</f>
        <v>265007</v>
      </c>
    </row>
    <row r="24" spans="2:20" x14ac:dyDescent="0.25">
      <c r="B24" s="13">
        <v>43190</v>
      </c>
      <c r="C24" s="24">
        <f t="shared" si="2"/>
        <v>4221581.78</v>
      </c>
      <c r="D24" s="25"/>
      <c r="E24" s="26">
        <f t="shared" ref="E24" si="20">SUM(C24:D24)</f>
        <v>4221581.78</v>
      </c>
      <c r="F24" s="24">
        <f t="shared" si="7"/>
        <v>2943504</v>
      </c>
      <c r="G24" s="25">
        <f>+R24-R23</f>
        <v>50936</v>
      </c>
      <c r="H24" s="28">
        <v>-59912</v>
      </c>
      <c r="I24" s="26">
        <f t="shared" si="17"/>
        <v>2934528</v>
      </c>
      <c r="J24" s="25">
        <f t="shared" si="4"/>
        <v>299560</v>
      </c>
      <c r="K24" s="25">
        <f t="shared" si="11"/>
        <v>59912</v>
      </c>
      <c r="L24" s="25"/>
      <c r="M24" s="26">
        <f t="shared" si="18"/>
        <v>359472</v>
      </c>
      <c r="N24" s="23"/>
      <c r="O24" s="23">
        <f t="shared" si="5"/>
        <v>7156109.7800000003</v>
      </c>
      <c r="P24" s="15">
        <f t="shared" si="6"/>
        <v>7.1089169849408275E-3</v>
      </c>
      <c r="Q24" s="2"/>
      <c r="R24" s="28">
        <f>987813-671870</f>
        <v>315943</v>
      </c>
    </row>
    <row r="25" spans="2:20" x14ac:dyDescent="0.25">
      <c r="B25" s="13">
        <v>43281</v>
      </c>
      <c r="C25" s="24">
        <f t="shared" si="2"/>
        <v>4221581.78</v>
      </c>
      <c r="D25" s="25"/>
      <c r="E25" s="26">
        <f t="shared" ref="E25" si="21">SUM(C25:D25)</f>
        <v>4221581.78</v>
      </c>
      <c r="F25" s="24">
        <f t="shared" si="7"/>
        <v>2934528</v>
      </c>
      <c r="G25" s="25">
        <f>+R25-R24</f>
        <v>200696</v>
      </c>
      <c r="H25" s="28">
        <v>-59912</v>
      </c>
      <c r="I25" s="26">
        <f t="shared" si="17"/>
        <v>3075312</v>
      </c>
      <c r="J25" s="25">
        <f t="shared" si="4"/>
        <v>359472</v>
      </c>
      <c r="K25" s="25">
        <f t="shared" si="11"/>
        <v>59912</v>
      </c>
      <c r="L25" s="25"/>
      <c r="M25" s="26">
        <f t="shared" si="18"/>
        <v>419384</v>
      </c>
      <c r="N25" s="23"/>
      <c r="O25" s="23">
        <f t="shared" si="5"/>
        <v>7296893.7800000003</v>
      </c>
      <c r="P25" s="15">
        <f t="shared" si="6"/>
        <v>2.8045405418584843E-2</v>
      </c>
      <c r="Q25" s="2"/>
      <c r="R25" s="28">
        <f>987796-471157</f>
        <v>516639</v>
      </c>
    </row>
    <row r="26" spans="2:20" x14ac:dyDescent="0.25">
      <c r="B26" s="13">
        <v>43373</v>
      </c>
      <c r="C26" s="24">
        <f t="shared" si="2"/>
        <v>4221581.78</v>
      </c>
      <c r="D26" s="25"/>
      <c r="E26" s="26">
        <f t="shared" ref="E26:E29" si="22">SUM(C26:D26)</f>
        <v>4221581.78</v>
      </c>
      <c r="F26" s="24">
        <f t="shared" si="7"/>
        <v>3075312</v>
      </c>
      <c r="G26" s="25">
        <f t="shared" ref="G26:G41" si="23">+R26-R25</f>
        <v>508990</v>
      </c>
      <c r="H26" s="28">
        <v>-59912</v>
      </c>
      <c r="I26" s="26">
        <f t="shared" si="17"/>
        <v>3524390</v>
      </c>
      <c r="J26" s="25">
        <f t="shared" si="4"/>
        <v>419384</v>
      </c>
      <c r="K26" s="25">
        <f t="shared" si="11"/>
        <v>59912</v>
      </c>
      <c r="L26" s="25"/>
      <c r="M26" s="26">
        <f t="shared" si="18"/>
        <v>479296</v>
      </c>
      <c r="N26" s="23"/>
      <c r="O26" s="23">
        <f t="shared" si="5"/>
        <v>7745971.7800000003</v>
      </c>
      <c r="P26" s="15">
        <f t="shared" si="6"/>
        <v>6.9754338674229671E-2</v>
      </c>
      <c r="Q26" s="2"/>
      <c r="R26" s="28">
        <f>1030446-4817</f>
        <v>1025629</v>
      </c>
    </row>
    <row r="27" spans="2:20" x14ac:dyDescent="0.25">
      <c r="B27" s="13">
        <v>43465</v>
      </c>
      <c r="C27" s="24">
        <f t="shared" si="2"/>
        <v>4221581.78</v>
      </c>
      <c r="D27" s="25"/>
      <c r="E27" s="26">
        <f t="shared" si="22"/>
        <v>4221581.78</v>
      </c>
      <c r="F27" s="24">
        <f t="shared" si="7"/>
        <v>3524390</v>
      </c>
      <c r="G27" s="27">
        <f>+R27</f>
        <v>-791667</v>
      </c>
      <c r="H27" s="28">
        <f>-22342*3</f>
        <v>-67026</v>
      </c>
      <c r="I27" s="26">
        <f t="shared" si="17"/>
        <v>2665697</v>
      </c>
      <c r="J27" s="25">
        <f t="shared" si="4"/>
        <v>479296</v>
      </c>
      <c r="K27" s="25">
        <f t="shared" si="11"/>
        <v>67026</v>
      </c>
      <c r="L27" s="25"/>
      <c r="M27" s="26">
        <f t="shared" si="18"/>
        <v>546322</v>
      </c>
      <c r="N27" s="23"/>
      <c r="O27" s="23">
        <f t="shared" si="5"/>
        <v>6887278.7800000003</v>
      </c>
      <c r="P27" s="15">
        <f t="shared" si="6"/>
        <v>-0.10220370309688889</v>
      </c>
      <c r="Q27" s="2"/>
      <c r="R27" s="28">
        <f>-21-791646</f>
        <v>-791667</v>
      </c>
    </row>
    <row r="28" spans="2:20" x14ac:dyDescent="0.25">
      <c r="B28" s="13">
        <v>43555</v>
      </c>
      <c r="C28" s="24">
        <f t="shared" si="2"/>
        <v>4221581.78</v>
      </c>
      <c r="D28" s="25"/>
      <c r="E28" s="26">
        <f t="shared" si="22"/>
        <v>4221581.78</v>
      </c>
      <c r="F28" s="24">
        <f t="shared" si="7"/>
        <v>2665697</v>
      </c>
      <c r="G28" s="25">
        <f t="shared" si="23"/>
        <v>900627</v>
      </c>
      <c r="H28" s="28">
        <f t="shared" ref="H28:H30" si="24">-22342*3</f>
        <v>-67026</v>
      </c>
      <c r="I28" s="26">
        <f t="shared" si="17"/>
        <v>3499298</v>
      </c>
      <c r="J28" s="25">
        <f t="shared" si="4"/>
        <v>546322</v>
      </c>
      <c r="K28" s="25">
        <f t="shared" si="11"/>
        <v>67026</v>
      </c>
      <c r="L28" s="25"/>
      <c r="M28" s="26">
        <f t="shared" si="18"/>
        <v>613348</v>
      </c>
      <c r="N28" s="23"/>
      <c r="O28" s="23">
        <f t="shared" si="5"/>
        <v>7720879.7800000003</v>
      </c>
      <c r="P28" s="15">
        <f t="shared" si="6"/>
        <v>0.13076674093915508</v>
      </c>
      <c r="Q28" s="2"/>
      <c r="R28" s="28">
        <f>57825+51135</f>
        <v>108960</v>
      </c>
    </row>
    <row r="29" spans="2:20" x14ac:dyDescent="0.25">
      <c r="B29" s="13">
        <v>43646</v>
      </c>
      <c r="C29" s="24">
        <f t="shared" si="2"/>
        <v>4221581.78</v>
      </c>
      <c r="D29" s="25"/>
      <c r="E29" s="26">
        <f t="shared" si="22"/>
        <v>4221581.78</v>
      </c>
      <c r="F29" s="24">
        <f t="shared" si="7"/>
        <v>3499298</v>
      </c>
      <c r="G29" s="25">
        <f t="shared" si="23"/>
        <v>317720</v>
      </c>
      <c r="H29" s="28">
        <f t="shared" si="24"/>
        <v>-67026</v>
      </c>
      <c r="I29" s="26">
        <f t="shared" si="17"/>
        <v>3749992</v>
      </c>
      <c r="J29" s="25">
        <f t="shared" si="4"/>
        <v>613348</v>
      </c>
      <c r="K29" s="25">
        <f t="shared" si="11"/>
        <v>67026</v>
      </c>
      <c r="L29" s="25"/>
      <c r="M29" s="26">
        <f t="shared" si="18"/>
        <v>680374</v>
      </c>
      <c r="N29" s="23"/>
      <c r="O29" s="23">
        <f t="shared" si="5"/>
        <v>7971573.7800000003</v>
      </c>
      <c r="P29" s="15">
        <f t="shared" si="6"/>
        <v>4.1150750828035813E-2</v>
      </c>
      <c r="Q29" s="2"/>
      <c r="R29" s="28">
        <f>61652+365028</f>
        <v>426680</v>
      </c>
    </row>
    <row r="30" spans="2:20" x14ac:dyDescent="0.25">
      <c r="B30" s="13">
        <v>43738</v>
      </c>
      <c r="C30" s="24">
        <f t="shared" si="2"/>
        <v>4221581.78</v>
      </c>
      <c r="D30" s="25"/>
      <c r="E30" s="26">
        <f t="shared" ref="E30:E41" si="25">SUM(C30:D30)</f>
        <v>4221581.78</v>
      </c>
      <c r="F30" s="24">
        <f t="shared" si="7"/>
        <v>3749992</v>
      </c>
      <c r="G30" s="25">
        <f t="shared" si="23"/>
        <v>173407</v>
      </c>
      <c r="H30" s="28">
        <f t="shared" si="24"/>
        <v>-67026</v>
      </c>
      <c r="I30" s="26">
        <f t="shared" si="17"/>
        <v>3856373</v>
      </c>
      <c r="J30" s="25">
        <f t="shared" si="4"/>
        <v>680374</v>
      </c>
      <c r="K30" s="25">
        <f t="shared" si="11"/>
        <v>67026</v>
      </c>
      <c r="L30" s="25"/>
      <c r="M30" s="26">
        <f t="shared" si="18"/>
        <v>747400</v>
      </c>
      <c r="N30" s="23"/>
      <c r="O30" s="23">
        <f t="shared" si="5"/>
        <v>8077954.7800000003</v>
      </c>
      <c r="P30" s="15">
        <f t="shared" si="6"/>
        <v>2.1753170049691239E-2</v>
      </c>
      <c r="Q30" s="2"/>
      <c r="R30" s="28">
        <f>32616+567471</f>
        <v>600087</v>
      </c>
    </row>
    <row r="31" spans="2:20" x14ac:dyDescent="0.25">
      <c r="B31" s="13">
        <v>43830</v>
      </c>
      <c r="C31" s="24">
        <f t="shared" si="2"/>
        <v>4221581.78</v>
      </c>
      <c r="D31" s="25"/>
      <c r="E31" s="26">
        <f t="shared" si="25"/>
        <v>4221581.78</v>
      </c>
      <c r="F31" s="24">
        <f t="shared" si="7"/>
        <v>3856373</v>
      </c>
      <c r="G31" s="27">
        <f>+R31</f>
        <v>271468</v>
      </c>
      <c r="H31" s="28">
        <f>-22886*3</f>
        <v>-68658</v>
      </c>
      <c r="I31" s="26">
        <f t="shared" si="17"/>
        <v>4059183</v>
      </c>
      <c r="J31" s="25">
        <f t="shared" si="4"/>
        <v>747400</v>
      </c>
      <c r="K31" s="25">
        <f t="shared" si="11"/>
        <v>68658</v>
      </c>
      <c r="L31" s="25"/>
      <c r="M31" s="26">
        <f t="shared" si="18"/>
        <v>816058</v>
      </c>
      <c r="N31" s="23"/>
      <c r="O31" s="23">
        <f t="shared" si="5"/>
        <v>8280764.7800000003</v>
      </c>
      <c r="P31" s="15">
        <f t="shared" si="6"/>
        <v>3.3606031154336323E-2</v>
      </c>
      <c r="Q31" s="2"/>
      <c r="R31" s="28">
        <f>7791+263677</f>
        <v>271468</v>
      </c>
    </row>
    <row r="32" spans="2:20" x14ac:dyDescent="0.25">
      <c r="B32" s="13">
        <v>43921</v>
      </c>
      <c r="C32" s="24">
        <f t="shared" si="2"/>
        <v>4221581.78</v>
      </c>
      <c r="D32" s="25"/>
      <c r="E32" s="26">
        <f t="shared" si="25"/>
        <v>4221581.78</v>
      </c>
      <c r="F32" s="24">
        <f t="shared" si="7"/>
        <v>4059183</v>
      </c>
      <c r="G32" s="25">
        <f t="shared" si="23"/>
        <v>-1071952</v>
      </c>
      <c r="H32" s="28">
        <f>-22886*3</f>
        <v>-68658</v>
      </c>
      <c r="I32" s="26">
        <f t="shared" si="17"/>
        <v>2918573</v>
      </c>
      <c r="J32" s="25">
        <f t="shared" si="4"/>
        <v>816058</v>
      </c>
      <c r="K32" s="25">
        <f t="shared" si="11"/>
        <v>68658</v>
      </c>
      <c r="L32" s="25"/>
      <c r="M32" s="26">
        <f t="shared" si="18"/>
        <v>884716</v>
      </c>
      <c r="N32" s="23"/>
      <c r="O32" s="23">
        <f t="shared" si="5"/>
        <v>7140154.7800000003</v>
      </c>
      <c r="P32" s="15">
        <f t="shared" si="6"/>
        <v>-0.12945084523944175</v>
      </c>
      <c r="Q32" s="2"/>
      <c r="R32" s="28">
        <f>15054+-815538</f>
        <v>-800484</v>
      </c>
    </row>
    <row r="33" spans="2:18" x14ac:dyDescent="0.25">
      <c r="B33" s="13">
        <v>44012</v>
      </c>
      <c r="C33" s="24">
        <f t="shared" si="2"/>
        <v>4221581.78</v>
      </c>
      <c r="D33" s="25"/>
      <c r="E33" s="26">
        <f t="shared" si="25"/>
        <v>4221581.78</v>
      </c>
      <c r="F33" s="24">
        <f t="shared" si="7"/>
        <v>2918573</v>
      </c>
      <c r="G33" s="25">
        <f t="shared" si="23"/>
        <v>1025395</v>
      </c>
      <c r="H33" s="28">
        <f>-22886*3</f>
        <v>-68658</v>
      </c>
      <c r="I33" s="26">
        <f t="shared" si="17"/>
        <v>3875310</v>
      </c>
      <c r="J33" s="25">
        <f t="shared" si="4"/>
        <v>884716</v>
      </c>
      <c r="K33" s="25">
        <f t="shared" si="11"/>
        <v>68658</v>
      </c>
      <c r="L33" s="25"/>
      <c r="M33" s="26">
        <f t="shared" si="18"/>
        <v>953374</v>
      </c>
      <c r="N33" s="23"/>
      <c r="O33" s="23">
        <f t="shared" si="5"/>
        <v>8096891.7800000003</v>
      </c>
      <c r="P33" s="15">
        <f t="shared" si="6"/>
        <v>0.14360963194694218</v>
      </c>
      <c r="Q33" s="2"/>
      <c r="R33" s="28">
        <f>1210981-986070</f>
        <v>224911</v>
      </c>
    </row>
    <row r="34" spans="2:18" x14ac:dyDescent="0.25">
      <c r="B34" s="13">
        <v>44104</v>
      </c>
      <c r="C34" s="24">
        <f t="shared" si="2"/>
        <v>4221581.78</v>
      </c>
      <c r="D34" s="25"/>
      <c r="E34" s="26">
        <f t="shared" si="25"/>
        <v>4221581.78</v>
      </c>
      <c r="F34" s="24">
        <f t="shared" si="7"/>
        <v>3875310</v>
      </c>
      <c r="G34" s="25">
        <f t="shared" si="23"/>
        <v>673242</v>
      </c>
      <c r="H34" s="28">
        <f>-22886*3</f>
        <v>-68658</v>
      </c>
      <c r="I34" s="26">
        <f t="shared" si="17"/>
        <v>4479894</v>
      </c>
      <c r="J34" s="25">
        <f t="shared" si="4"/>
        <v>953374</v>
      </c>
      <c r="K34" s="25">
        <f t="shared" si="11"/>
        <v>68658</v>
      </c>
      <c r="L34" s="25"/>
      <c r="M34" s="26">
        <f t="shared" ref="M34:M37" si="26">SUM(J34:L34)</f>
        <v>1022032</v>
      </c>
      <c r="N34" s="23"/>
      <c r="O34" s="23">
        <f t="shared" si="5"/>
        <v>8701475.7800000012</v>
      </c>
      <c r="P34" s="15">
        <f t="shared" si="6"/>
        <v>8.3148202828023959E-2</v>
      </c>
      <c r="Q34" s="2"/>
      <c r="R34" s="28">
        <f>1300065-401912</f>
        <v>898153</v>
      </c>
    </row>
    <row r="35" spans="2:18" x14ac:dyDescent="0.25">
      <c r="B35" s="13">
        <v>44196</v>
      </c>
      <c r="C35" s="24">
        <f t="shared" si="2"/>
        <v>4221581.78</v>
      </c>
      <c r="D35" s="25"/>
      <c r="E35" s="26">
        <f t="shared" si="25"/>
        <v>4221581.78</v>
      </c>
      <c r="F35" s="24">
        <f t="shared" si="7"/>
        <v>4479894</v>
      </c>
      <c r="G35" s="27">
        <f>+R35</f>
        <v>858769</v>
      </c>
      <c r="H35" s="28">
        <f>-25138.75*3</f>
        <v>-75416.25</v>
      </c>
      <c r="I35" s="26">
        <f t="shared" si="17"/>
        <v>5263246.75</v>
      </c>
      <c r="J35" s="25">
        <f t="shared" si="4"/>
        <v>1022032</v>
      </c>
      <c r="K35" s="25">
        <f t="shared" si="11"/>
        <v>75416.25</v>
      </c>
      <c r="L35" s="25"/>
      <c r="M35" s="26">
        <f t="shared" si="26"/>
        <v>1097448.25</v>
      </c>
      <c r="N35" s="23"/>
      <c r="O35" s="23">
        <f t="shared" si="5"/>
        <v>9484828.5300000012</v>
      </c>
      <c r="P35" s="15">
        <f t="shared" si="6"/>
        <v>9.8692339289600348E-2</v>
      </c>
      <c r="Q35" s="2"/>
      <c r="R35" s="28">
        <f>31+858738</f>
        <v>858769</v>
      </c>
    </row>
    <row r="36" spans="2:18" x14ac:dyDescent="0.25">
      <c r="B36" s="13">
        <v>44286</v>
      </c>
      <c r="C36" s="24">
        <f t="shared" si="2"/>
        <v>4221581.78</v>
      </c>
      <c r="D36" s="25"/>
      <c r="E36" s="26">
        <f t="shared" si="25"/>
        <v>4221581.78</v>
      </c>
      <c r="F36" s="24">
        <f t="shared" si="7"/>
        <v>5263246.75</v>
      </c>
      <c r="G36" s="25">
        <f t="shared" si="23"/>
        <v>63464</v>
      </c>
      <c r="H36" s="28">
        <f>-25138.75*3</f>
        <v>-75416.25</v>
      </c>
      <c r="I36" s="26">
        <f t="shared" si="17"/>
        <v>5251294.5</v>
      </c>
      <c r="J36" s="25">
        <f t="shared" si="4"/>
        <v>1097448.25</v>
      </c>
      <c r="K36" s="25">
        <f t="shared" si="11"/>
        <v>75416.25</v>
      </c>
      <c r="L36" s="25"/>
      <c r="M36" s="26">
        <f t="shared" si="26"/>
        <v>1172864.5</v>
      </c>
      <c r="N36" s="23"/>
      <c r="O36" s="23">
        <f t="shared" si="5"/>
        <v>9472876.2800000012</v>
      </c>
      <c r="P36" s="15">
        <f t="shared" si="6"/>
        <v>6.6911067289478973E-3</v>
      </c>
      <c r="Q36" s="2"/>
      <c r="R36" s="28">
        <f>68+922165</f>
        <v>922233</v>
      </c>
    </row>
    <row r="37" spans="2:18" x14ac:dyDescent="0.25">
      <c r="B37" s="13">
        <v>44377</v>
      </c>
      <c r="C37" s="24">
        <f t="shared" si="2"/>
        <v>4221581.78</v>
      </c>
      <c r="D37" s="25"/>
      <c r="E37" s="26">
        <f t="shared" si="25"/>
        <v>4221581.78</v>
      </c>
      <c r="F37" s="24">
        <f t="shared" si="7"/>
        <v>5251294.5</v>
      </c>
      <c r="G37" s="25">
        <f t="shared" si="23"/>
        <v>619384</v>
      </c>
      <c r="H37" s="28">
        <f>-25138.75*3</f>
        <v>-75416.25</v>
      </c>
      <c r="I37" s="26">
        <f t="shared" si="17"/>
        <v>5795262.25</v>
      </c>
      <c r="J37" s="25">
        <f t="shared" si="4"/>
        <v>1172864.5</v>
      </c>
      <c r="K37" s="25">
        <f t="shared" si="11"/>
        <v>75416.25</v>
      </c>
      <c r="L37" s="25"/>
      <c r="M37" s="26">
        <f t="shared" si="26"/>
        <v>1248280.75</v>
      </c>
      <c r="N37" s="23"/>
      <c r="O37" s="23">
        <f t="shared" si="5"/>
        <v>10016844.030000001</v>
      </c>
      <c r="P37" s="15">
        <f t="shared" si="6"/>
        <v>6.5384998356592061E-2</v>
      </c>
      <c r="Q37" s="2"/>
      <c r="R37" s="28">
        <f>59905+1481712</f>
        <v>1541617</v>
      </c>
    </row>
    <row r="38" spans="2:18" x14ac:dyDescent="0.25">
      <c r="B38" s="13">
        <v>44469</v>
      </c>
      <c r="C38" s="24">
        <f t="shared" si="2"/>
        <v>4221581.78</v>
      </c>
      <c r="D38" s="25"/>
      <c r="E38" s="26">
        <f t="shared" si="25"/>
        <v>4221581.78</v>
      </c>
      <c r="F38" s="24">
        <f t="shared" si="7"/>
        <v>5795262.25</v>
      </c>
      <c r="G38" s="25">
        <f t="shared" si="23"/>
        <v>56448</v>
      </c>
      <c r="H38" s="28">
        <f>-25138.75*3</f>
        <v>-75416.25</v>
      </c>
      <c r="I38" s="26">
        <f t="shared" si="17"/>
        <v>5776294</v>
      </c>
      <c r="J38" s="25">
        <f t="shared" si="4"/>
        <v>1248280.75</v>
      </c>
      <c r="K38" s="25">
        <f t="shared" si="11"/>
        <v>75416.25</v>
      </c>
      <c r="L38" s="25"/>
      <c r="M38" s="26">
        <f t="shared" ref="M38:M41" si="27">SUM(J38:L38)</f>
        <v>1323697</v>
      </c>
      <c r="N38" s="23"/>
      <c r="O38" s="23">
        <f t="shared" si="5"/>
        <v>9997875.7800000012</v>
      </c>
      <c r="P38" s="15">
        <f t="shared" si="6"/>
        <v>5.6353078705169771E-3</v>
      </c>
      <c r="Q38" s="2"/>
      <c r="R38" s="28">
        <f>127407+1470658</f>
        <v>1598065</v>
      </c>
    </row>
    <row r="39" spans="2:18" x14ac:dyDescent="0.25">
      <c r="B39" s="13">
        <v>44561</v>
      </c>
      <c r="C39" s="24">
        <f t="shared" si="2"/>
        <v>4221581.78</v>
      </c>
      <c r="D39" s="25"/>
      <c r="E39" s="26">
        <f t="shared" si="25"/>
        <v>4221581.78</v>
      </c>
      <c r="F39" s="24">
        <f t="shared" si="7"/>
        <v>5776294</v>
      </c>
      <c r="G39" s="27">
        <f>+R39</f>
        <v>831291</v>
      </c>
      <c r="H39" s="28">
        <f>-27666*3</f>
        <v>-82998</v>
      </c>
      <c r="I39" s="26">
        <f t="shared" si="17"/>
        <v>6524587</v>
      </c>
      <c r="J39" s="25">
        <f t="shared" si="4"/>
        <v>1323697</v>
      </c>
      <c r="K39" s="25">
        <f t="shared" si="11"/>
        <v>82998</v>
      </c>
      <c r="L39" s="25"/>
      <c r="M39" s="26">
        <f t="shared" si="27"/>
        <v>1406695</v>
      </c>
      <c r="N39" s="23"/>
      <c r="O39" s="23">
        <f t="shared" si="5"/>
        <v>10746168.780000001</v>
      </c>
      <c r="P39" s="15">
        <f t="shared" si="6"/>
        <v>8.3146762201520355E-2</v>
      </c>
      <c r="Q39" s="2"/>
      <c r="R39" s="28">
        <f>131197+700094</f>
        <v>831291</v>
      </c>
    </row>
    <row r="40" spans="2:18" x14ac:dyDescent="0.25">
      <c r="B40" s="13">
        <v>44651</v>
      </c>
      <c r="C40" s="24">
        <f t="shared" si="2"/>
        <v>4221581.78</v>
      </c>
      <c r="D40" s="25"/>
      <c r="E40" s="26">
        <f t="shared" si="25"/>
        <v>4221581.78</v>
      </c>
      <c r="F40" s="24">
        <f t="shared" si="7"/>
        <v>6524587</v>
      </c>
      <c r="G40" s="25">
        <f t="shared" si="23"/>
        <v>-883277</v>
      </c>
      <c r="H40" s="28">
        <f>-27666*3</f>
        <v>-82998</v>
      </c>
      <c r="I40" s="26">
        <f t="shared" si="17"/>
        <v>5558312</v>
      </c>
      <c r="J40" s="25">
        <f t="shared" si="4"/>
        <v>1406695</v>
      </c>
      <c r="K40" s="25">
        <f t="shared" si="11"/>
        <v>82998</v>
      </c>
      <c r="L40" s="25"/>
      <c r="M40" s="26">
        <f t="shared" si="27"/>
        <v>1489693</v>
      </c>
      <c r="N40" s="23"/>
      <c r="O40" s="23">
        <f t="shared" si="5"/>
        <v>9779893.7800000012</v>
      </c>
      <c r="P40" s="15">
        <f t="shared" si="6"/>
        <v>-8.2194595867867981E-2</v>
      </c>
      <c r="Q40" s="2"/>
      <c r="R40" s="28">
        <f>131187-183173</f>
        <v>-51986</v>
      </c>
    </row>
    <row r="41" spans="2:18" x14ac:dyDescent="0.25">
      <c r="B41" s="13">
        <v>44742</v>
      </c>
      <c r="C41" s="24">
        <f t="shared" si="2"/>
        <v>4221581.78</v>
      </c>
      <c r="D41" s="25"/>
      <c r="E41" s="26">
        <f t="shared" si="25"/>
        <v>4221581.78</v>
      </c>
      <c r="F41" s="24">
        <f t="shared" si="7"/>
        <v>5558312</v>
      </c>
      <c r="G41" s="25">
        <f t="shared" si="23"/>
        <v>-1162917</v>
      </c>
      <c r="H41" s="28">
        <f>-27666*3</f>
        <v>-82998</v>
      </c>
      <c r="I41" s="26">
        <f t="shared" si="17"/>
        <v>4312397</v>
      </c>
      <c r="J41" s="25">
        <f t="shared" si="4"/>
        <v>1489693</v>
      </c>
      <c r="K41" s="25">
        <f t="shared" si="11"/>
        <v>82998</v>
      </c>
      <c r="L41" s="25"/>
      <c r="M41" s="26">
        <f t="shared" si="27"/>
        <v>1572691</v>
      </c>
      <c r="N41" s="23"/>
      <c r="O41" s="23">
        <f t="shared" si="5"/>
        <v>8533978.7800000012</v>
      </c>
      <c r="P41" s="15">
        <f t="shared" si="6"/>
        <v>-0.11890896017482103</v>
      </c>
      <c r="Q41" s="2"/>
      <c r="R41" s="28">
        <f>152017-1366920</f>
        <v>-1214903</v>
      </c>
    </row>
    <row r="42" spans="2:18" s="3" customFormat="1" x14ac:dyDescent="0.25">
      <c r="B42" s="30">
        <v>44834</v>
      </c>
      <c r="C42" s="31">
        <f t="shared" ref="C42" si="28">+E41</f>
        <v>4221581.78</v>
      </c>
      <c r="D42" s="32"/>
      <c r="E42" s="33">
        <f t="shared" ref="E42" si="29">SUM(C42:D42)</f>
        <v>4221581.78</v>
      </c>
      <c r="F42" s="31">
        <f t="shared" ref="F42" si="30">+I41</f>
        <v>4312397</v>
      </c>
      <c r="G42" s="32">
        <f t="shared" ref="G42" si="31">+R42-R41</f>
        <v>-422079</v>
      </c>
      <c r="H42" s="34">
        <f t="shared" ref="H42" si="32">-27666*3</f>
        <v>-82998</v>
      </c>
      <c r="I42" s="33">
        <f t="shared" ref="I42" si="33">SUM(F42:H42)</f>
        <v>3807320</v>
      </c>
      <c r="J42" s="32">
        <f t="shared" ref="J42" si="34">+M41</f>
        <v>1572691</v>
      </c>
      <c r="K42" s="32">
        <f t="shared" ref="K42" si="35">-H42</f>
        <v>82998</v>
      </c>
      <c r="L42" s="32"/>
      <c r="M42" s="33">
        <f t="shared" ref="M42" si="36">SUM(J42:L42)</f>
        <v>1655689</v>
      </c>
      <c r="N42" s="35"/>
      <c r="O42" s="35">
        <f>+E42+I42</f>
        <v>8028901.7800000003</v>
      </c>
      <c r="P42" s="36">
        <f t="shared" ref="P42" si="37">+G42/(E42+F42)</f>
        <v>-4.9458641845837814E-2</v>
      </c>
      <c r="Q42" s="37"/>
      <c r="R42" s="34">
        <f>151952-1788934</f>
        <v>-1636982</v>
      </c>
    </row>
    <row r="43" spans="2:18" x14ac:dyDescent="0.25">
      <c r="B43" s="13"/>
      <c r="C43" s="20"/>
      <c r="D43" s="11"/>
      <c r="E43" s="21"/>
      <c r="F43" s="20"/>
      <c r="G43" s="11"/>
      <c r="H43" s="11"/>
      <c r="I43" s="21"/>
      <c r="J43" s="11"/>
      <c r="K43" s="11"/>
      <c r="L43" s="11"/>
      <c r="M43" s="21"/>
      <c r="O43" s="2"/>
      <c r="P43" s="22"/>
      <c r="Q43" s="2"/>
      <c r="R43" s="11"/>
    </row>
    <row r="44" spans="2:18" x14ac:dyDescent="0.25">
      <c r="B44" s="13"/>
      <c r="C44" s="20"/>
      <c r="D44" s="11"/>
      <c r="E44" s="21"/>
      <c r="F44" s="20"/>
      <c r="G44" s="11"/>
      <c r="H44" s="11"/>
      <c r="I44" s="21"/>
      <c r="J44" s="11"/>
      <c r="K44" s="11"/>
      <c r="L44" s="11"/>
      <c r="M44" s="21"/>
      <c r="O44" s="2"/>
      <c r="P44" s="22"/>
      <c r="Q44" s="2"/>
      <c r="R44" s="11"/>
    </row>
    <row r="45" spans="2:18" x14ac:dyDescent="0.25">
      <c r="B45" s="13"/>
      <c r="C45" s="20"/>
      <c r="D45" s="11"/>
      <c r="E45" s="21"/>
      <c r="F45" s="20"/>
      <c r="G45" s="11"/>
      <c r="H45" s="11"/>
      <c r="I45" s="21"/>
      <c r="J45" s="11"/>
      <c r="K45" s="11"/>
      <c r="L45" s="11"/>
      <c r="M45" s="21"/>
      <c r="O45" s="2"/>
      <c r="P45" s="22"/>
      <c r="Q45" s="2"/>
      <c r="R45" s="11"/>
    </row>
    <row r="46" spans="2:18" x14ac:dyDescent="0.25">
      <c r="B46" s="14"/>
      <c r="C46" s="8"/>
      <c r="D46" s="6"/>
      <c r="E46" s="9"/>
      <c r="F46" s="8"/>
      <c r="G46" s="6"/>
      <c r="H46" s="6"/>
      <c r="I46" s="9"/>
      <c r="J46" s="6"/>
      <c r="K46" s="6"/>
      <c r="L46" s="6"/>
      <c r="M46" s="9"/>
      <c r="R46" s="1"/>
    </row>
    <row r="47" spans="2:18" x14ac:dyDescent="0.25"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P47" s="2"/>
    </row>
    <row r="48" spans="2:18" x14ac:dyDescent="0.25"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8" x14ac:dyDescent="0.25">
      <c r="E49" s="5"/>
      <c r="K49" s="1"/>
      <c r="L49" s="18"/>
      <c r="M49" s="19" t="s">
        <v>13</v>
      </c>
      <c r="N49" s="1"/>
      <c r="O49" s="23">
        <f>AVERAGE(O31:O42)</f>
        <v>9023387.9050000012</v>
      </c>
      <c r="P49" s="1"/>
      <c r="Q49" s="1"/>
      <c r="R49" s="1"/>
    </row>
    <row r="50" spans="2:18" x14ac:dyDescent="0.25">
      <c r="E50" s="5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E51" s="5"/>
      <c r="K51" s="1"/>
      <c r="L51" s="1"/>
      <c r="M51" s="1" t="s">
        <v>14</v>
      </c>
      <c r="N51" s="1"/>
      <c r="O51" s="16">
        <v>0.04</v>
      </c>
      <c r="P51" s="1"/>
      <c r="Q51" s="1"/>
      <c r="R51" s="1"/>
    </row>
    <row r="52" spans="2:18" x14ac:dyDescent="0.25">
      <c r="E52" s="2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K53" s="1"/>
      <c r="L53" s="1"/>
      <c r="M53" s="1"/>
      <c r="N53" s="1"/>
      <c r="O53" s="1"/>
      <c r="P53" s="1"/>
      <c r="Q53" s="1"/>
      <c r="R53" s="1"/>
    </row>
    <row r="54" spans="2:18" x14ac:dyDescent="0.25">
      <c r="O54" s="2"/>
    </row>
    <row r="55" spans="2:18" x14ac:dyDescent="0.25">
      <c r="B55" s="3"/>
    </row>
    <row r="56" spans="2:18" x14ac:dyDescent="0.25">
      <c r="O56" s="16"/>
    </row>
    <row r="57" spans="2:18" x14ac:dyDescent="0.25">
      <c r="C57" s="4"/>
      <c r="D57" s="4"/>
      <c r="E57" s="4"/>
      <c r="O57" s="1"/>
    </row>
    <row r="58" spans="2:18" x14ac:dyDescent="0.25">
      <c r="O58" s="1"/>
    </row>
    <row r="59" spans="2:18" x14ac:dyDescent="0.25">
      <c r="C59" s="1"/>
      <c r="D59" s="1"/>
      <c r="E59" s="2"/>
    </row>
    <row r="60" spans="2:18" x14ac:dyDescent="0.25">
      <c r="C60" s="1"/>
      <c r="D60" s="1"/>
      <c r="E60" s="2"/>
    </row>
    <row r="61" spans="2:18" x14ac:dyDescent="0.25">
      <c r="C61" s="1"/>
      <c r="D61" s="1"/>
      <c r="E61" s="2"/>
    </row>
    <row r="62" spans="2:18" x14ac:dyDescent="0.25">
      <c r="C62" s="1"/>
      <c r="D62" s="1"/>
      <c r="E62" s="2"/>
    </row>
    <row r="63" spans="2:18" x14ac:dyDescent="0.25">
      <c r="C63" s="1"/>
      <c r="D63" s="1"/>
      <c r="E63" s="2"/>
    </row>
    <row r="64" spans="2:18" x14ac:dyDescent="0.25">
      <c r="C64" s="1"/>
      <c r="D64" s="1"/>
      <c r="E64" s="2"/>
    </row>
    <row r="65" spans="3:6" x14ac:dyDescent="0.25">
      <c r="C65" s="1"/>
      <c r="D65" s="1"/>
      <c r="E65" s="2"/>
    </row>
    <row r="66" spans="3:6" x14ac:dyDescent="0.25">
      <c r="C66" s="1"/>
      <c r="D66" s="1"/>
      <c r="E66" s="2"/>
      <c r="F66" s="2"/>
    </row>
    <row r="67" spans="3:6" x14ac:dyDescent="0.25">
      <c r="C67" s="1"/>
      <c r="D67" s="1"/>
      <c r="E67" s="2"/>
      <c r="F67" s="1"/>
    </row>
    <row r="68" spans="3:6" x14ac:dyDescent="0.25">
      <c r="C68" s="1"/>
      <c r="D68" s="1"/>
      <c r="E68" s="2"/>
      <c r="F68" s="1"/>
    </row>
    <row r="69" spans="3:6" x14ac:dyDescent="0.25">
      <c r="C69" s="1"/>
      <c r="D69" s="1"/>
      <c r="E69" s="2"/>
      <c r="F69" s="1"/>
    </row>
    <row r="70" spans="3:6" x14ac:dyDescent="0.25">
      <c r="C70" s="1"/>
      <c r="D70" s="1"/>
      <c r="E70" s="2"/>
    </row>
    <row r="71" spans="3:6" x14ac:dyDescent="0.25">
      <c r="C71" s="1"/>
      <c r="D71" s="1"/>
      <c r="E71" s="2"/>
    </row>
    <row r="72" spans="3:6" x14ac:dyDescent="0.25">
      <c r="C72" s="1"/>
      <c r="D72" s="1"/>
      <c r="E72" s="2"/>
    </row>
    <row r="73" spans="3:6" x14ac:dyDescent="0.25">
      <c r="C73" s="1"/>
      <c r="D73" s="1"/>
      <c r="E73" s="2"/>
    </row>
    <row r="74" spans="3:6" x14ac:dyDescent="0.25">
      <c r="C74" s="1"/>
      <c r="D74" s="1"/>
      <c r="E74" s="2"/>
    </row>
    <row r="75" spans="3:6" x14ac:dyDescent="0.25">
      <c r="C75" s="1"/>
      <c r="D75" s="1"/>
      <c r="E75" s="2"/>
    </row>
    <row r="76" spans="3:6" x14ac:dyDescent="0.25">
      <c r="C76" s="1"/>
      <c r="D76" s="1"/>
      <c r="E76" s="2"/>
    </row>
    <row r="77" spans="3:6" x14ac:dyDescent="0.25">
      <c r="C77" s="1"/>
      <c r="D77" s="1"/>
      <c r="E77" s="2"/>
    </row>
    <row r="78" spans="3:6" x14ac:dyDescent="0.25">
      <c r="C78" s="1"/>
      <c r="D78" s="1"/>
      <c r="E78" s="2"/>
    </row>
    <row r="79" spans="3:6" x14ac:dyDescent="0.25">
      <c r="C79" s="1"/>
      <c r="D79" s="1"/>
      <c r="E79" s="2"/>
    </row>
  </sheetData>
  <mergeCells count="3">
    <mergeCell ref="C5:E5"/>
    <mergeCell ref="F5:I5"/>
    <mergeCell ref="J5:M5"/>
  </mergeCells>
  <pageMargins left="0.5" right="0.45" top="0.75" bottom="0.75" header="0.3" footer="0.3"/>
  <pageSetup paperSize="5" scale="59" orientation="landscape" r:id="rId1"/>
  <headerFooter>
    <oddFooter>&amp;L&amp;Z&amp;F&amp;R&amp;D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Monadnock Community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nhumphre</dc:creator>
  <cp:lastModifiedBy>Walter, Kelly</cp:lastModifiedBy>
  <cp:lastPrinted>2023-07-27T19:42:16Z</cp:lastPrinted>
  <dcterms:created xsi:type="dcterms:W3CDTF">2016-08-23T15:37:14Z</dcterms:created>
  <dcterms:modified xsi:type="dcterms:W3CDTF">2023-08-31T15:19:34Z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Local">
    <vt:bool>true</vt:bool>
  </property>
</Properties>
</file>